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rdon\Documents\Gordon's Text Documents\2014-2015 Hoops\"/>
    </mc:Choice>
  </mc:AlternateContent>
  <bookViews>
    <workbookView xWindow="0" yWindow="0" windowWidth="25125" windowHeight="11835"/>
  </bookViews>
  <sheets>
    <sheet name="Stat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" i="2" l="1"/>
  <c r="AD6" i="2" l="1"/>
  <c r="AC6" i="2"/>
  <c r="AB6" i="2"/>
  <c r="AA6" i="2"/>
  <c r="H6" i="2"/>
  <c r="Y6" i="2"/>
  <c r="V6" i="2"/>
  <c r="W6" i="2"/>
  <c r="J6" i="2"/>
  <c r="G6" i="2"/>
  <c r="O6" i="2" s="1"/>
  <c r="F6" i="2"/>
  <c r="N6" i="2" s="1"/>
  <c r="E6" i="2"/>
  <c r="D6" i="2"/>
  <c r="L6" i="2" s="1"/>
  <c r="M6" i="2"/>
  <c r="L5" i="2"/>
  <c r="L7" i="2"/>
  <c r="N7" i="2"/>
  <c r="M7" i="2"/>
  <c r="L3" i="2"/>
  <c r="O9" i="2"/>
  <c r="N9" i="2"/>
  <c r="M9" i="2"/>
  <c r="L9" i="2"/>
  <c r="G9" i="2"/>
  <c r="Y10" i="2" l="1"/>
  <c r="AC10" i="2" l="1"/>
  <c r="F10" i="2"/>
  <c r="S10" i="2"/>
  <c r="AB10" i="2"/>
  <c r="AA10" i="2"/>
  <c r="D10" i="2"/>
  <c r="E10" i="2"/>
  <c r="W10" i="2"/>
  <c r="J10" i="2"/>
  <c r="V10" i="2"/>
  <c r="H10" i="2"/>
  <c r="G10" i="2"/>
  <c r="Y9" i="2"/>
  <c r="W9" i="2"/>
  <c r="J9" i="2"/>
  <c r="V9" i="2"/>
  <c r="H9" i="2"/>
  <c r="AD9" i="2"/>
  <c r="AC9" i="2"/>
  <c r="AB9" i="2"/>
  <c r="AA9" i="2"/>
  <c r="E9" i="2"/>
  <c r="F9" i="2"/>
  <c r="D9" i="2"/>
  <c r="G8" i="2"/>
  <c r="AD8" i="2"/>
  <c r="AC8" i="2"/>
  <c r="AB8" i="2"/>
  <c r="AA8" i="2"/>
  <c r="H8" i="2"/>
  <c r="D8" i="2"/>
  <c r="Y8" i="2"/>
  <c r="F8" i="2"/>
  <c r="E8" i="2"/>
  <c r="J8" i="2"/>
  <c r="W8" i="2"/>
  <c r="V8" i="2"/>
  <c r="AD7" i="2"/>
  <c r="AC7" i="2"/>
  <c r="AB7" i="2"/>
  <c r="AA7" i="2"/>
  <c r="Y7" i="2"/>
  <c r="G7" i="2"/>
  <c r="O7" i="2" s="1"/>
  <c r="F7" i="2"/>
  <c r="E7" i="2"/>
  <c r="D7" i="2"/>
  <c r="D5" i="2"/>
  <c r="J7" i="2"/>
  <c r="W7" i="2"/>
  <c r="V7" i="2"/>
  <c r="H7" i="2"/>
  <c r="AD3" i="2"/>
  <c r="AC3" i="2"/>
  <c r="AB3" i="2"/>
  <c r="AA3" i="2"/>
  <c r="AC4" i="2"/>
  <c r="AD4" i="2"/>
  <c r="AB4" i="2"/>
  <c r="AA4" i="2"/>
  <c r="AD5" i="2"/>
  <c r="AB5" i="2"/>
  <c r="AC5" i="2"/>
  <c r="AA5" i="2"/>
  <c r="Y5" i="2"/>
  <c r="G5" i="2"/>
  <c r="O5" i="2" s="1"/>
  <c r="F5" i="2"/>
  <c r="E5" i="2"/>
  <c r="N5" i="2"/>
  <c r="M5" i="2"/>
  <c r="J5" i="2"/>
  <c r="W5" i="2"/>
  <c r="H5" i="2"/>
  <c r="V5" i="2"/>
  <c r="Y4" i="2"/>
  <c r="G4" i="2"/>
  <c r="O4" i="2" s="1"/>
  <c r="I4" i="2"/>
  <c r="J4" i="2"/>
  <c r="W4" i="2"/>
  <c r="V4" i="2"/>
  <c r="H4" i="2"/>
  <c r="E4" i="2"/>
  <c r="M4" i="2" s="1"/>
  <c r="F4" i="2"/>
  <c r="D4" i="2"/>
  <c r="O3" i="2"/>
  <c r="N4" i="2"/>
  <c r="N3" i="2"/>
  <c r="M3" i="2"/>
  <c r="L4" i="2"/>
  <c r="Y3" i="2"/>
  <c r="W3" i="2"/>
  <c r="V3" i="2"/>
  <c r="G3" i="2"/>
</calcChain>
</file>

<file path=xl/comments1.xml><?xml version="1.0" encoding="utf-8"?>
<comments xmlns="http://schemas.openxmlformats.org/spreadsheetml/2006/main">
  <authors>
    <author>Gordon Mann</author>
  </authors>
  <commentList>
    <comment ref="A10" authorId="0" shapeId="0">
      <text>
        <r>
          <rPr>
            <b/>
            <sz val="9"/>
            <color indexed="81"/>
            <rFont val="Tahoma"/>
            <charset val="1"/>
          </rPr>
          <t>Shelley Parks averaged 16.6 ppg, 12.7 rpg and had a triple-double in the title game versus New Rochelle (20 pts, 13 reb, 10 blocks)</t>
        </r>
      </text>
    </comment>
    <comment ref="I10" authorId="0" shapeId="0">
      <text>
        <r>
          <rPr>
            <sz val="9"/>
            <color indexed="81"/>
            <rFont val="Tahoma"/>
            <family val="2"/>
          </rPr>
          <t>NCAA didn't implement a 3-point line until 1986 for men. Scranton records start with 1987-88</t>
        </r>
      </text>
    </comment>
  </commentList>
</comments>
</file>

<file path=xl/sharedStrings.xml><?xml version="1.0" encoding="utf-8"?>
<sst xmlns="http://schemas.openxmlformats.org/spreadsheetml/2006/main" count="56" uniqueCount="38">
  <si>
    <t>PTS</t>
  </si>
  <si>
    <t>PPG</t>
  </si>
  <si>
    <t>GP</t>
  </si>
  <si>
    <t>MPG</t>
  </si>
  <si>
    <t>RPG</t>
  </si>
  <si>
    <t>APG</t>
  </si>
  <si>
    <t>TOPG</t>
  </si>
  <si>
    <t>REB</t>
  </si>
  <si>
    <t>AST</t>
  </si>
  <si>
    <t>STL</t>
  </si>
  <si>
    <t>BLK</t>
  </si>
  <si>
    <t>Miss FG</t>
  </si>
  <si>
    <t>Miss FT</t>
  </si>
  <si>
    <t>TO</t>
  </si>
  <si>
    <t>Adjusted for 40 MPG</t>
  </si>
  <si>
    <t>EFF</t>
  </si>
  <si>
    <t>EFF = (PTS + REB + AST + STL+ BLK - Miss FG - Miss FT  - TO) / GP</t>
  </si>
  <si>
    <t>FG%</t>
  </si>
  <si>
    <t>3pt %</t>
  </si>
  <si>
    <t>FT %</t>
  </si>
  <si>
    <t>Meia Daniels (Howard Payne '08)</t>
  </si>
  <si>
    <t>Sydney Moss (Thomas More '15)</t>
  </si>
  <si>
    <t>Tasha Rodgers (Washington U. '01)</t>
  </si>
  <si>
    <t>Alia Fischer (Washington U '00)</t>
  </si>
  <si>
    <t>Alia Fischer (Washington U '99)</t>
  </si>
  <si>
    <t>1-3</t>
  </si>
  <si>
    <t>Share of team output</t>
  </si>
  <si>
    <t>Pts</t>
  </si>
  <si>
    <t>Reb</t>
  </si>
  <si>
    <t>Ast</t>
  </si>
  <si>
    <t>---</t>
  </si>
  <si>
    <t>Wendy Wangerin (Wis.-Oshkosh '96)</t>
  </si>
  <si>
    <t>Laura Schmelzer (Capital '94)</t>
  </si>
  <si>
    <t>Deanna Kyle (Scranton '85)</t>
  </si>
  <si>
    <t>N/A</t>
  </si>
  <si>
    <t>0-1</t>
  </si>
  <si>
    <t>Thanks to Kevin Southard at Scranton; Kelcey Buck at Washington U.; and Ryan Gasser at Capital for providing information to complete this comparison</t>
  </si>
  <si>
    <t>Season Box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</si>
</sst>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charset val="1"/>
    </font>
    <font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164" fontId="3" fillId="0" borderId="0" xfId="1" quotePrefix="1" applyNumberFormat="1" applyFont="1" applyAlignment="1">
      <alignment horizontal="center" vertical="center"/>
    </xf>
    <xf numFmtId="0" fontId="2" fillId="5" borderId="0" xfId="0" applyFont="1" applyFill="1" applyAlignment="1">
      <alignment horizontal="center"/>
    </xf>
    <xf numFmtId="9" fontId="3" fillId="0" borderId="0" xfId="1" applyNumberFormat="1" applyFont="1" applyAlignment="1">
      <alignment horizontal="center" vertical="center"/>
    </xf>
    <xf numFmtId="0" fontId="4" fillId="0" borderId="0" xfId="0" applyFont="1"/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1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12" sqref="A12"/>
    </sheetView>
  </sheetViews>
  <sheetFormatPr defaultRowHeight="12.75" x14ac:dyDescent="0.2"/>
  <cols>
    <col min="1" max="1" width="46.28515625" style="3" customWidth="1"/>
    <col min="2" max="2" width="9.42578125" style="4" customWidth="1"/>
    <col min="3" max="6" width="9.140625" style="4"/>
    <col min="7" max="10" width="9.140625" style="3"/>
    <col min="11" max="11" width="2.140625" style="3" customWidth="1"/>
    <col min="12" max="15" width="9.140625" style="3"/>
    <col min="16" max="16" width="3.42578125" style="3" customWidth="1"/>
    <col min="17" max="25" width="9.140625" style="3"/>
    <col min="26" max="26" width="3.140625" style="3" customWidth="1"/>
    <col min="27" max="16384" width="9.140625" style="3"/>
  </cols>
  <sheetData>
    <row r="1" spans="1:30" s="14" customFormat="1" x14ac:dyDescent="0.2">
      <c r="B1" s="16" t="s">
        <v>37</v>
      </c>
      <c r="C1" s="16"/>
      <c r="D1" s="16"/>
      <c r="E1" s="16"/>
      <c r="F1" s="16"/>
      <c r="G1" s="16"/>
      <c r="H1" s="16"/>
      <c r="I1" s="16"/>
      <c r="J1" s="16"/>
      <c r="L1" s="16" t="s">
        <v>14</v>
      </c>
      <c r="M1" s="16"/>
      <c r="N1" s="16"/>
      <c r="O1" s="16"/>
      <c r="Q1" s="16" t="s">
        <v>16</v>
      </c>
      <c r="R1" s="16"/>
      <c r="S1" s="16"/>
      <c r="T1" s="16"/>
      <c r="U1" s="16"/>
      <c r="V1" s="16"/>
      <c r="W1" s="16"/>
      <c r="X1" s="16"/>
      <c r="AA1" s="16" t="s">
        <v>26</v>
      </c>
      <c r="AB1" s="16"/>
      <c r="AC1" s="16"/>
      <c r="AD1" s="16"/>
    </row>
    <row r="2" spans="1:30" x14ac:dyDescent="0.2">
      <c r="A2" s="1"/>
      <c r="B2" s="2" t="s">
        <v>2</v>
      </c>
      <c r="C2" s="2" t="s">
        <v>3</v>
      </c>
      <c r="D2" s="2" t="s">
        <v>1</v>
      </c>
      <c r="E2" s="2" t="s">
        <v>4</v>
      </c>
      <c r="F2" s="2" t="s">
        <v>5</v>
      </c>
      <c r="G2" s="2" t="s">
        <v>6</v>
      </c>
      <c r="H2" s="2" t="s">
        <v>17</v>
      </c>
      <c r="I2" s="2" t="s">
        <v>18</v>
      </c>
      <c r="J2" s="2" t="s">
        <v>19</v>
      </c>
      <c r="L2" s="5" t="s">
        <v>1</v>
      </c>
      <c r="M2" s="5" t="s">
        <v>4</v>
      </c>
      <c r="N2" s="5" t="s">
        <v>5</v>
      </c>
      <c r="O2" s="5" t="s">
        <v>6</v>
      </c>
      <c r="Q2" s="6" t="s">
        <v>0</v>
      </c>
      <c r="R2" s="6" t="s">
        <v>7</v>
      </c>
      <c r="S2" s="6" t="s">
        <v>8</v>
      </c>
      <c r="T2" s="6" t="s">
        <v>9</v>
      </c>
      <c r="U2" s="6" t="s">
        <v>10</v>
      </c>
      <c r="V2" s="6" t="s">
        <v>11</v>
      </c>
      <c r="W2" s="6" t="s">
        <v>12</v>
      </c>
      <c r="X2" s="6" t="s">
        <v>13</v>
      </c>
      <c r="Y2" s="6" t="s">
        <v>15</v>
      </c>
      <c r="AA2" s="12" t="s">
        <v>27</v>
      </c>
      <c r="AB2" s="12" t="s">
        <v>28</v>
      </c>
      <c r="AC2" s="12" t="s">
        <v>29</v>
      </c>
      <c r="AD2" s="12" t="s">
        <v>13</v>
      </c>
    </row>
    <row r="3" spans="1:30" s="7" customFormat="1" ht="21.75" customHeight="1" x14ac:dyDescent="0.25">
      <c r="A3" s="7" t="s">
        <v>21</v>
      </c>
      <c r="B3" s="8">
        <v>33</v>
      </c>
      <c r="C3" s="8">
        <v>26.4</v>
      </c>
      <c r="D3" s="8">
        <v>24.2</v>
      </c>
      <c r="E3" s="8">
        <v>7.6</v>
      </c>
      <c r="F3" s="9">
        <v>4</v>
      </c>
      <c r="G3" s="9">
        <f>58/33</f>
        <v>1.7575757575757576</v>
      </c>
      <c r="H3" s="10">
        <v>0.51800000000000002</v>
      </c>
      <c r="I3" s="10">
        <v>0.38400000000000001</v>
      </c>
      <c r="J3" s="10">
        <v>0.72299999999999998</v>
      </c>
      <c r="L3" s="9">
        <f t="shared" ref="L3:O5" si="0">D3*(40/$C3)</f>
        <v>36.666666666666664</v>
      </c>
      <c r="M3" s="9">
        <f t="shared" si="0"/>
        <v>11.515151515151514</v>
      </c>
      <c r="N3" s="9">
        <f t="shared" si="0"/>
        <v>6.0606060606060606</v>
      </c>
      <c r="O3" s="9">
        <f t="shared" si="0"/>
        <v>2.6629935720844813</v>
      </c>
      <c r="Q3" s="8">
        <f>798-66</f>
        <v>732</v>
      </c>
      <c r="R3" s="8">
        <v>251</v>
      </c>
      <c r="S3" s="8">
        <v>133</v>
      </c>
      <c r="T3" s="8">
        <v>60</v>
      </c>
      <c r="U3" s="8">
        <v>18</v>
      </c>
      <c r="V3" s="8">
        <f>575-298</f>
        <v>277</v>
      </c>
      <c r="W3" s="8">
        <f>188-136</f>
        <v>52</v>
      </c>
      <c r="X3" s="8">
        <v>58</v>
      </c>
      <c r="Y3" s="9">
        <f t="shared" ref="Y3:Y10" si="1">(Q3+R3+S3+T3+U3-V3-W3-X3)/B3</f>
        <v>24.454545454545453</v>
      </c>
      <c r="AA3" s="13">
        <f>Q3/2821</f>
        <v>0.25948245303084011</v>
      </c>
      <c r="AB3" s="13">
        <f>R3/1437</f>
        <v>0.17466945024356298</v>
      </c>
      <c r="AC3" s="13">
        <f>S3/611</f>
        <v>0.21767594108019639</v>
      </c>
      <c r="AD3" s="13">
        <f>X3/436</f>
        <v>0.13302752293577982</v>
      </c>
    </row>
    <row r="4" spans="1:30" s="7" customFormat="1" ht="21.75" customHeight="1" x14ac:dyDescent="0.25">
      <c r="A4" s="7" t="s">
        <v>20</v>
      </c>
      <c r="B4" s="8">
        <v>33</v>
      </c>
      <c r="C4" s="8">
        <v>29.5</v>
      </c>
      <c r="D4" s="9">
        <f t="shared" ref="D4:D10" si="2">Q4/B4</f>
        <v>19.575757575757574</v>
      </c>
      <c r="E4" s="9">
        <f t="shared" ref="E4:E10" si="3">R4/B4</f>
        <v>3.4545454545454546</v>
      </c>
      <c r="F4" s="9">
        <f t="shared" ref="F4:F10" si="4">S4/B4</f>
        <v>3.2727272727272729</v>
      </c>
      <c r="G4" s="9">
        <f t="shared" ref="G4:G10" si="5">X4/B4</f>
        <v>2.9090909090909092</v>
      </c>
      <c r="H4" s="10">
        <f>215/479</f>
        <v>0.44885177453027142</v>
      </c>
      <c r="I4" s="10">
        <f>68/180</f>
        <v>0.37777777777777777</v>
      </c>
      <c r="J4" s="10">
        <f>148/183</f>
        <v>0.80874316939890711</v>
      </c>
      <c r="L4" s="9">
        <f t="shared" si="0"/>
        <v>26.543400102722135</v>
      </c>
      <c r="M4" s="9">
        <f t="shared" si="0"/>
        <v>4.6841294298921419</v>
      </c>
      <c r="N4" s="9">
        <f t="shared" si="0"/>
        <v>4.4375963020030813</v>
      </c>
      <c r="O4" s="9">
        <f t="shared" si="0"/>
        <v>3.9445300462249615</v>
      </c>
      <c r="Q4" s="8">
        <v>646</v>
      </c>
      <c r="R4" s="8">
        <v>114</v>
      </c>
      <c r="S4" s="8">
        <v>108</v>
      </c>
      <c r="T4" s="8">
        <v>145</v>
      </c>
      <c r="U4" s="8">
        <v>7</v>
      </c>
      <c r="V4" s="8">
        <f>479-215</f>
        <v>264</v>
      </c>
      <c r="W4" s="8">
        <f>183-148</f>
        <v>35</v>
      </c>
      <c r="X4" s="8">
        <v>96</v>
      </c>
      <c r="Y4" s="9">
        <f t="shared" si="1"/>
        <v>18.939393939393938</v>
      </c>
      <c r="AA4" s="13">
        <f>Q4/2485</f>
        <v>0.25995975855130787</v>
      </c>
      <c r="AB4" s="13">
        <f>R4/1350</f>
        <v>8.4444444444444447E-2</v>
      </c>
      <c r="AC4" s="13">
        <f>S4/410</f>
        <v>0.26341463414634148</v>
      </c>
      <c r="AD4" s="13">
        <f>X4/556</f>
        <v>0.17266187050359713</v>
      </c>
    </row>
    <row r="5" spans="1:30" s="7" customFormat="1" ht="21.75" customHeight="1" x14ac:dyDescent="0.25">
      <c r="A5" s="7" t="s">
        <v>22</v>
      </c>
      <c r="B5" s="8">
        <v>30</v>
      </c>
      <c r="C5" s="8">
        <v>28.5</v>
      </c>
      <c r="D5" s="9">
        <f t="shared" si="2"/>
        <v>20.2</v>
      </c>
      <c r="E5" s="9">
        <f t="shared" si="3"/>
        <v>7.8</v>
      </c>
      <c r="F5" s="9">
        <f t="shared" si="4"/>
        <v>2.2666666666666666</v>
      </c>
      <c r="G5" s="9">
        <f t="shared" si="5"/>
        <v>2.6</v>
      </c>
      <c r="H5" s="10">
        <f>240/405</f>
        <v>0.59259259259259256</v>
      </c>
      <c r="I5" s="11" t="s">
        <v>25</v>
      </c>
      <c r="J5" s="10">
        <f>125/170</f>
        <v>0.73529411764705888</v>
      </c>
      <c r="L5" s="9">
        <f t="shared" si="0"/>
        <v>28.350877192982452</v>
      </c>
      <c r="M5" s="9">
        <f t="shared" si="0"/>
        <v>10.94736842105263</v>
      </c>
      <c r="N5" s="9">
        <f t="shared" si="0"/>
        <v>3.1812865497076022</v>
      </c>
      <c r="O5" s="9">
        <f t="shared" si="0"/>
        <v>3.6491228070175437</v>
      </c>
      <c r="Q5" s="8">
        <v>606</v>
      </c>
      <c r="R5" s="8">
        <v>234</v>
      </c>
      <c r="S5" s="8">
        <v>68</v>
      </c>
      <c r="T5" s="8">
        <v>123</v>
      </c>
      <c r="U5" s="8">
        <v>9</v>
      </c>
      <c r="V5" s="8">
        <f>405-240</f>
        <v>165</v>
      </c>
      <c r="W5" s="8">
        <f>170-125</f>
        <v>45</v>
      </c>
      <c r="X5" s="8">
        <v>78</v>
      </c>
      <c r="Y5" s="9">
        <f t="shared" si="1"/>
        <v>25.066666666666666</v>
      </c>
      <c r="AA5" s="13">
        <f>Q5/2274</f>
        <v>0.26649076517150394</v>
      </c>
      <c r="AB5" s="13">
        <f>R5/1214</f>
        <v>0.1927512355848435</v>
      </c>
      <c r="AC5" s="13">
        <f>S5/501</f>
        <v>0.13572854291417166</v>
      </c>
      <c r="AD5" s="13">
        <f>X5/514</f>
        <v>0.1517509727626459</v>
      </c>
    </row>
    <row r="6" spans="1:30" s="7" customFormat="1" ht="21.75" customHeight="1" x14ac:dyDescent="0.25">
      <c r="A6" s="7" t="s">
        <v>23</v>
      </c>
      <c r="B6" s="8">
        <v>30</v>
      </c>
      <c r="C6" s="8">
        <v>26.4</v>
      </c>
      <c r="D6" s="9">
        <f t="shared" si="2"/>
        <v>16.566666666666666</v>
      </c>
      <c r="E6" s="9">
        <f t="shared" si="3"/>
        <v>7.0666666666666664</v>
      </c>
      <c r="F6" s="9">
        <f t="shared" si="4"/>
        <v>1.7</v>
      </c>
      <c r="G6" s="9">
        <f t="shared" si="5"/>
        <v>1.6</v>
      </c>
      <c r="H6" s="10">
        <f>191/332</f>
        <v>0.57530120481927716</v>
      </c>
      <c r="I6" s="11" t="s">
        <v>35</v>
      </c>
      <c r="J6" s="10">
        <f>115/150</f>
        <v>0.76666666666666672</v>
      </c>
      <c r="L6" s="9">
        <f t="shared" ref="L6" si="6">D6*(40/$C6)</f>
        <v>25.1010101010101</v>
      </c>
      <c r="M6" s="9">
        <f t="shared" ref="M6" si="7">E6*(40/$C6)</f>
        <v>10.707070707070706</v>
      </c>
      <c r="N6" s="9">
        <f t="shared" ref="N6" si="8">F6*(40/$C6)</f>
        <v>2.5757575757575757</v>
      </c>
      <c r="O6" s="9">
        <f t="shared" ref="O6" si="9">G6*(40/$C6)</f>
        <v>2.4242424242424243</v>
      </c>
      <c r="Q6" s="8">
        <v>497</v>
      </c>
      <c r="R6" s="8">
        <v>212</v>
      </c>
      <c r="S6" s="8">
        <v>51</v>
      </c>
      <c r="T6" s="8">
        <v>58</v>
      </c>
      <c r="U6" s="8">
        <v>60</v>
      </c>
      <c r="V6" s="8">
        <f>332-191</f>
        <v>141</v>
      </c>
      <c r="W6" s="8">
        <f>150-115</f>
        <v>35</v>
      </c>
      <c r="X6" s="8">
        <v>48</v>
      </c>
      <c r="Y6" s="9">
        <f t="shared" si="1"/>
        <v>21.8</v>
      </c>
      <c r="AA6" s="13">
        <f>Q6/2274</f>
        <v>0.21855760773966579</v>
      </c>
      <c r="AB6" s="13">
        <f>R6/1214</f>
        <v>0.17462932454695224</v>
      </c>
      <c r="AC6" s="13">
        <f>S6/501</f>
        <v>0.10179640718562874</v>
      </c>
      <c r="AD6" s="13">
        <f>X6/514</f>
        <v>9.3385214007782102E-2</v>
      </c>
    </row>
    <row r="7" spans="1:30" s="7" customFormat="1" ht="21.75" customHeight="1" x14ac:dyDescent="0.25">
      <c r="A7" s="7" t="s">
        <v>24</v>
      </c>
      <c r="B7" s="8">
        <v>30</v>
      </c>
      <c r="C7" s="8">
        <v>28.1</v>
      </c>
      <c r="D7" s="9">
        <f t="shared" si="2"/>
        <v>18</v>
      </c>
      <c r="E7" s="9">
        <f t="shared" si="3"/>
        <v>8.6666666666666661</v>
      </c>
      <c r="F7" s="9">
        <f t="shared" si="4"/>
        <v>1</v>
      </c>
      <c r="G7" s="9">
        <f t="shared" si="5"/>
        <v>1.6</v>
      </c>
      <c r="H7" s="10">
        <f>222/395</f>
        <v>0.5620253164556962</v>
      </c>
      <c r="I7" s="11" t="s">
        <v>30</v>
      </c>
      <c r="J7" s="10">
        <f>96/133</f>
        <v>0.72180451127819545</v>
      </c>
      <c r="L7" s="9">
        <f t="shared" ref="L7" si="10">D7*(40/$C7)</f>
        <v>25.622775800711743</v>
      </c>
      <c r="M7" s="9">
        <f t="shared" ref="M7" si="11">E7*(40/$C7)</f>
        <v>12.336892052194541</v>
      </c>
      <c r="N7" s="9">
        <f t="shared" ref="N7" si="12">F7*(40/$C7)</f>
        <v>1.4234875444839856</v>
      </c>
      <c r="O7" s="9">
        <f t="shared" ref="O7" si="13">G7*(40/$C7)</f>
        <v>2.277580071174377</v>
      </c>
      <c r="Q7" s="8">
        <v>540</v>
      </c>
      <c r="R7" s="8">
        <v>260</v>
      </c>
      <c r="S7" s="8">
        <v>30</v>
      </c>
      <c r="T7" s="8">
        <v>54</v>
      </c>
      <c r="U7" s="8">
        <v>67</v>
      </c>
      <c r="V7" s="8">
        <f>395-222</f>
        <v>173</v>
      </c>
      <c r="W7" s="8">
        <f>133-96</f>
        <v>37</v>
      </c>
      <c r="X7" s="8">
        <v>48</v>
      </c>
      <c r="Y7" s="9">
        <f t="shared" si="1"/>
        <v>23.1</v>
      </c>
      <c r="AA7" s="13">
        <f>540/2274</f>
        <v>0.23746701846965698</v>
      </c>
      <c r="AB7" s="13">
        <f>260/1276</f>
        <v>0.20376175548589343</v>
      </c>
      <c r="AC7" s="13">
        <f>S7/596</f>
        <v>5.0335570469798654E-2</v>
      </c>
      <c r="AD7" s="13">
        <f>X7/501</f>
        <v>9.580838323353294E-2</v>
      </c>
    </row>
    <row r="8" spans="1:30" s="7" customFormat="1" ht="21.75" customHeight="1" x14ac:dyDescent="0.25">
      <c r="A8" s="7" t="s">
        <v>31</v>
      </c>
      <c r="B8" s="8">
        <v>31</v>
      </c>
      <c r="C8" s="8" t="s">
        <v>34</v>
      </c>
      <c r="D8" s="9">
        <f t="shared" si="2"/>
        <v>18.032258064516128</v>
      </c>
      <c r="E8" s="9">
        <f t="shared" si="3"/>
        <v>7.935483870967742</v>
      </c>
      <c r="F8" s="9">
        <f t="shared" si="4"/>
        <v>0.967741935483871</v>
      </c>
      <c r="G8" s="9">
        <f t="shared" si="5"/>
        <v>0</v>
      </c>
      <c r="H8" s="10">
        <f>226/420</f>
        <v>0.53809523809523807</v>
      </c>
      <c r="I8" s="11" t="s">
        <v>30</v>
      </c>
      <c r="J8" s="10">
        <f>107/149</f>
        <v>0.71812080536912748</v>
      </c>
      <c r="L8" s="9" t="s">
        <v>34</v>
      </c>
      <c r="M8" s="9" t="s">
        <v>34</v>
      </c>
      <c r="N8" s="9" t="s">
        <v>34</v>
      </c>
      <c r="O8" s="9" t="s">
        <v>34</v>
      </c>
      <c r="Q8" s="8">
        <v>559</v>
      </c>
      <c r="R8" s="8">
        <v>246</v>
      </c>
      <c r="S8" s="8">
        <v>30</v>
      </c>
      <c r="T8" s="8">
        <v>41</v>
      </c>
      <c r="U8" s="8">
        <v>5</v>
      </c>
      <c r="V8" s="8">
        <f>420-226</f>
        <v>194</v>
      </c>
      <c r="W8" s="8">
        <f>149-107</f>
        <v>42</v>
      </c>
      <c r="X8" s="8"/>
      <c r="Y8" s="9">
        <f t="shared" si="1"/>
        <v>20.806451612903224</v>
      </c>
      <c r="AA8" s="13">
        <f>559/2329</f>
        <v>0.24001717475311293</v>
      </c>
      <c r="AB8" s="13">
        <f>R8/886</f>
        <v>0.27765237020316025</v>
      </c>
      <c r="AC8" s="13">
        <f>S8/479</f>
        <v>6.2630480167014613E-2</v>
      </c>
      <c r="AD8" s="13">
        <f>X8/465</f>
        <v>0</v>
      </c>
    </row>
    <row r="9" spans="1:30" s="7" customFormat="1" ht="21.75" customHeight="1" x14ac:dyDescent="0.25">
      <c r="A9" s="7" t="s">
        <v>32</v>
      </c>
      <c r="B9" s="8">
        <v>31</v>
      </c>
      <c r="C9" s="8">
        <v>29</v>
      </c>
      <c r="D9" s="9">
        <f t="shared" si="2"/>
        <v>17.806451612903224</v>
      </c>
      <c r="E9" s="9">
        <f t="shared" si="3"/>
        <v>6.806451612903226</v>
      </c>
      <c r="F9" s="9">
        <f t="shared" si="4"/>
        <v>1.1612903225806452</v>
      </c>
      <c r="G9" s="9">
        <f t="shared" si="5"/>
        <v>2.2903225806451615</v>
      </c>
      <c r="H9" s="10">
        <f>233/432</f>
        <v>0.53935185185185186</v>
      </c>
      <c r="I9" s="11" t="s">
        <v>30</v>
      </c>
      <c r="J9" s="10">
        <f>86/148</f>
        <v>0.58108108108108103</v>
      </c>
      <c r="L9" s="9">
        <f>D9*(40/$C9)</f>
        <v>24.560622914349278</v>
      </c>
      <c r="M9" s="9">
        <f>E9*(40/$C9)</f>
        <v>9.3882091212458292</v>
      </c>
      <c r="N9" s="9">
        <f>F9*(40/$C9)</f>
        <v>1.6017797552836488</v>
      </c>
      <c r="O9" s="9">
        <f>G9*(40/$C9)</f>
        <v>3.159065628476085</v>
      </c>
      <c r="Q9" s="8">
        <v>552</v>
      </c>
      <c r="R9" s="8">
        <v>211</v>
      </c>
      <c r="S9" s="8">
        <v>36</v>
      </c>
      <c r="T9" s="8">
        <v>71</v>
      </c>
      <c r="U9" s="8">
        <v>35</v>
      </c>
      <c r="V9" s="8">
        <f>432-233</f>
        <v>199</v>
      </c>
      <c r="W9" s="8">
        <f>148-86</f>
        <v>62</v>
      </c>
      <c r="X9" s="8">
        <v>71</v>
      </c>
      <c r="Y9" s="9">
        <f t="shared" si="1"/>
        <v>18.483870967741936</v>
      </c>
      <c r="AA9" s="13">
        <f>Q9/2294</f>
        <v>0.24062772449869224</v>
      </c>
      <c r="AB9" s="13">
        <f>R9/1234</f>
        <v>0.17098865478119935</v>
      </c>
      <c r="AC9" s="13">
        <f>S9/443</f>
        <v>8.1264108352144468E-2</v>
      </c>
      <c r="AD9" s="13">
        <f>X9/518</f>
        <v>0.13706563706563707</v>
      </c>
    </row>
    <row r="10" spans="1:30" s="7" customFormat="1" ht="21.75" customHeight="1" x14ac:dyDescent="0.25">
      <c r="A10" s="7" t="s">
        <v>33</v>
      </c>
      <c r="B10" s="8">
        <v>30</v>
      </c>
      <c r="C10" s="8" t="s">
        <v>34</v>
      </c>
      <c r="D10" s="9">
        <f t="shared" si="2"/>
        <v>18.100000000000001</v>
      </c>
      <c r="E10" s="9">
        <f t="shared" si="3"/>
        <v>5.7</v>
      </c>
      <c r="F10" s="9">
        <f t="shared" si="4"/>
        <v>8.0666666666666664</v>
      </c>
      <c r="G10" s="9">
        <f t="shared" si="5"/>
        <v>3.8333333333333335</v>
      </c>
      <c r="H10" s="10">
        <f>224/433</f>
        <v>0.51732101616628179</v>
      </c>
      <c r="I10" s="10" t="s">
        <v>34</v>
      </c>
      <c r="J10" s="10">
        <f>95/142</f>
        <v>0.66901408450704225</v>
      </c>
      <c r="L10" s="9" t="s">
        <v>34</v>
      </c>
      <c r="M10" s="9" t="s">
        <v>34</v>
      </c>
      <c r="N10" s="9" t="s">
        <v>34</v>
      </c>
      <c r="O10" s="9" t="s">
        <v>34</v>
      </c>
      <c r="Q10" s="8">
        <v>543</v>
      </c>
      <c r="R10" s="8">
        <v>171</v>
      </c>
      <c r="S10" s="8">
        <f>242</f>
        <v>242</v>
      </c>
      <c r="T10" s="8">
        <v>91</v>
      </c>
      <c r="U10" s="8">
        <v>16</v>
      </c>
      <c r="V10" s="8">
        <f>433-224</f>
        <v>209</v>
      </c>
      <c r="W10" s="8">
        <f>142-95</f>
        <v>47</v>
      </c>
      <c r="X10" s="8">
        <v>115</v>
      </c>
      <c r="Y10" s="9">
        <f t="shared" si="1"/>
        <v>23.066666666666666</v>
      </c>
      <c r="AA10" s="13">
        <f>Q10/2531</f>
        <v>0.2145397076254445</v>
      </c>
      <c r="AB10" s="13">
        <f>R10/1732</f>
        <v>9.8729792147806E-2</v>
      </c>
      <c r="AC10" s="13">
        <f>S10/611</f>
        <v>0.39607201309328971</v>
      </c>
      <c r="AD10" s="13" t="s">
        <v>34</v>
      </c>
    </row>
    <row r="11" spans="1:30" s="7" customFormat="1" ht="21.75" customHeight="1" x14ac:dyDescent="0.25">
      <c r="B11" s="8"/>
      <c r="C11" s="8"/>
      <c r="D11" s="9"/>
      <c r="E11" s="9"/>
      <c r="F11" s="9"/>
      <c r="G11" s="9"/>
      <c r="H11" s="10"/>
      <c r="I11" s="10"/>
      <c r="J11" s="10"/>
      <c r="L11" s="9"/>
      <c r="M11" s="9"/>
      <c r="N11" s="9"/>
      <c r="O11" s="9"/>
      <c r="Q11" s="8"/>
      <c r="R11" s="8"/>
      <c r="S11" s="8"/>
      <c r="T11" s="8"/>
      <c r="U11" s="8"/>
      <c r="V11" s="8"/>
      <c r="W11" s="8"/>
      <c r="X11" s="8"/>
      <c r="Y11" s="9"/>
    </row>
    <row r="12" spans="1:30" s="7" customFormat="1" ht="21.75" customHeight="1" x14ac:dyDescent="0.25">
      <c r="A12" s="15" t="s">
        <v>36</v>
      </c>
      <c r="B12" s="8"/>
      <c r="C12" s="8"/>
      <c r="D12" s="9"/>
      <c r="E12" s="9"/>
      <c r="F12" s="9"/>
      <c r="G12" s="9"/>
      <c r="H12" s="10"/>
      <c r="I12" s="10"/>
      <c r="J12" s="10"/>
      <c r="L12" s="9"/>
      <c r="M12" s="9"/>
      <c r="N12" s="9"/>
      <c r="O12" s="9"/>
      <c r="Q12" s="8"/>
      <c r="R12" s="8"/>
      <c r="S12" s="8"/>
      <c r="T12" s="8"/>
      <c r="U12" s="8"/>
      <c r="V12" s="8"/>
      <c r="W12" s="8"/>
      <c r="X12" s="8"/>
      <c r="Y12" s="9"/>
    </row>
    <row r="13" spans="1:30" s="7" customFormat="1" ht="21.75" customHeight="1" x14ac:dyDescent="0.25">
      <c r="B13" s="8"/>
      <c r="C13" s="8"/>
      <c r="D13" s="9"/>
      <c r="E13" s="9"/>
      <c r="F13" s="9"/>
      <c r="G13" s="9"/>
      <c r="H13" s="10"/>
      <c r="I13" s="10"/>
      <c r="J13" s="10"/>
      <c r="L13" s="9"/>
      <c r="M13" s="9"/>
      <c r="N13" s="9"/>
      <c r="O13" s="9"/>
      <c r="Q13" s="8"/>
      <c r="R13" s="8"/>
      <c r="S13" s="8"/>
      <c r="T13" s="8"/>
      <c r="U13" s="8"/>
      <c r="V13" s="8"/>
      <c r="W13" s="8"/>
      <c r="X13" s="8"/>
      <c r="Y13" s="9"/>
    </row>
    <row r="14" spans="1:30" s="7" customFormat="1" ht="21.75" customHeight="1" x14ac:dyDescent="0.25">
      <c r="B14" s="8"/>
      <c r="C14" s="8"/>
      <c r="D14" s="9"/>
      <c r="E14" s="9"/>
      <c r="F14" s="9"/>
      <c r="G14" s="9"/>
      <c r="H14" s="10"/>
      <c r="I14" s="10"/>
      <c r="J14" s="10"/>
      <c r="L14" s="9"/>
      <c r="M14" s="9"/>
      <c r="N14" s="9"/>
      <c r="O14" s="9"/>
      <c r="Q14" s="8"/>
      <c r="R14" s="8"/>
      <c r="S14" s="8"/>
      <c r="T14" s="8"/>
      <c r="U14" s="8"/>
      <c r="V14" s="8"/>
      <c r="W14" s="8"/>
      <c r="X14" s="8"/>
      <c r="Y14" s="9"/>
    </row>
    <row r="15" spans="1:30" s="7" customFormat="1" ht="21.75" customHeight="1" x14ac:dyDescent="0.25">
      <c r="B15" s="8"/>
      <c r="C15" s="8"/>
      <c r="D15" s="8"/>
      <c r="E15" s="8"/>
      <c r="F15" s="8"/>
    </row>
    <row r="16" spans="1:30" s="7" customFormat="1" ht="21.75" customHeight="1" x14ac:dyDescent="0.25">
      <c r="B16" s="8"/>
      <c r="C16" s="8"/>
      <c r="D16" s="8"/>
      <c r="E16" s="8"/>
      <c r="F16" s="8"/>
    </row>
  </sheetData>
  <mergeCells count="4">
    <mergeCell ref="L1:O1"/>
    <mergeCell ref="Q1:X1"/>
    <mergeCell ref="AA1:AD1"/>
    <mergeCell ref="B1:J1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 Mann</dc:creator>
  <cp:lastModifiedBy>Gordon Mann</cp:lastModifiedBy>
  <dcterms:created xsi:type="dcterms:W3CDTF">2015-03-26T03:35:02Z</dcterms:created>
  <dcterms:modified xsi:type="dcterms:W3CDTF">2015-04-19T04:23:45Z</dcterms:modified>
</cp:coreProperties>
</file>